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1630129.sharepoint.com/sites/TheWilliamStanleyCFOGroup/Shared Documents/WSG Files/Blog Posts/"/>
    </mc:Choice>
  </mc:AlternateContent>
  <xr:revisionPtr revIDLastSave="0" documentId="8_{2287BDEC-765D-4030-9A3C-FF1490EAAFE2}" xr6:coauthVersionLast="47" xr6:coauthVersionMax="47" xr10:uidLastSave="{00000000-0000-0000-0000-000000000000}"/>
  <bookViews>
    <workbookView xWindow="-108" yWindow="-108" windowWidth="23256" windowHeight="13896" xr2:uid="{ECE6995C-0F5E-47BF-942C-56B9312BE882}"/>
  </bookViews>
  <sheets>
    <sheet name="Income Statement" sheetId="2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M8" i="2"/>
  <c r="N8" i="2"/>
  <c r="G9" i="2"/>
  <c r="P9" i="2" s="1"/>
  <c r="Q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L19" i="2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Q10" i="2"/>
  <c r="P10" i="2"/>
  <c r="O10" i="2"/>
  <c r="N10" i="2"/>
  <c r="M10" i="2"/>
  <c r="L10" i="2"/>
  <c r="L8" i="2"/>
  <c r="Q7" i="2"/>
  <c r="P7" i="2"/>
  <c r="O7" i="2"/>
  <c r="N7" i="2"/>
  <c r="M7" i="2"/>
  <c r="Q2" i="2"/>
  <c r="P2" i="2"/>
  <c r="O2" i="2"/>
  <c r="N2" i="2"/>
  <c r="M2" i="2"/>
  <c r="L2" i="2"/>
  <c r="H28" i="2"/>
  <c r="Q28" i="2" s="1"/>
  <c r="G28" i="2"/>
  <c r="P28" i="2" s="1"/>
  <c r="F28" i="2"/>
  <c r="O28" i="2" s="1"/>
  <c r="E28" i="2"/>
  <c r="N28" i="2" s="1"/>
  <c r="D28" i="2"/>
  <c r="M28" i="2" s="1"/>
  <c r="C28" i="2"/>
  <c r="L28" i="2" s="1"/>
  <c r="H19" i="2"/>
  <c r="Q19" i="2" s="1"/>
  <c r="G19" i="2"/>
  <c r="P19" i="2" s="1"/>
  <c r="F19" i="2"/>
  <c r="O19" i="2" s="1"/>
  <c r="E19" i="2"/>
  <c r="N19" i="2" s="1"/>
  <c r="D19" i="2"/>
  <c r="M19" i="2" s="1"/>
  <c r="C12" i="2"/>
  <c r="L12" i="2" s="1"/>
  <c r="H11" i="2"/>
  <c r="Q11" i="2" s="1"/>
  <c r="G11" i="2"/>
  <c r="P11" i="2" s="1"/>
  <c r="F11" i="2"/>
  <c r="O11" i="2" s="1"/>
  <c r="E11" i="2"/>
  <c r="N11" i="2" s="1"/>
  <c r="D11" i="2"/>
  <c r="M11" i="2" s="1"/>
  <c r="C11" i="2"/>
  <c r="L11" i="2" s="1"/>
  <c r="L7" i="2"/>
  <c r="H3" i="2"/>
  <c r="H4" i="2" s="1"/>
  <c r="G3" i="2"/>
  <c r="G4" i="2" s="1"/>
  <c r="F3" i="2"/>
  <c r="O3" i="2" s="1"/>
  <c r="E3" i="2"/>
  <c r="N3" i="2" s="1"/>
  <c r="D3" i="2"/>
  <c r="M3" i="2" s="1"/>
  <c r="C3" i="2"/>
  <c r="L3" i="2" s="1"/>
  <c r="D9" i="2" l="1"/>
  <c r="D20" i="2" s="1"/>
  <c r="M20" i="2" s="1"/>
  <c r="E9" i="2"/>
  <c r="N9" i="2" s="1"/>
  <c r="C9" i="2"/>
  <c r="C20" i="2" s="1"/>
  <c r="L20" i="2" s="1"/>
  <c r="P4" i="2"/>
  <c r="Q4" i="2"/>
  <c r="F9" i="2"/>
  <c r="O9" i="2" s="1"/>
  <c r="P3" i="2"/>
  <c r="H9" i="2"/>
  <c r="Q9" i="2" s="1"/>
  <c r="F4" i="2"/>
  <c r="C4" i="2"/>
  <c r="G20" i="2"/>
  <c r="P20" i="2" s="1"/>
  <c r="D4" i="2"/>
  <c r="Q3" i="2"/>
  <c r="E4" i="2"/>
  <c r="P8" i="2"/>
  <c r="M9" i="2" l="1"/>
  <c r="E20" i="2"/>
  <c r="N20" i="2" s="1"/>
  <c r="G22" i="2"/>
  <c r="L9" i="2"/>
  <c r="H20" i="2"/>
  <c r="F20" i="2"/>
  <c r="O20" i="2" s="1"/>
  <c r="G30" i="2"/>
  <c r="P30" i="2" s="1"/>
  <c r="P22" i="2"/>
  <c r="N4" i="2"/>
  <c r="D22" i="2"/>
  <c r="M4" i="2"/>
  <c r="C22" i="2"/>
  <c r="L4" i="2"/>
  <c r="O4" i="2"/>
  <c r="E22" i="2" l="1"/>
  <c r="E30" i="2" s="1"/>
  <c r="N30" i="2" s="1"/>
  <c r="Q20" i="2"/>
  <c r="H22" i="2"/>
  <c r="F22" i="2"/>
  <c r="L22" i="2"/>
  <c r="C30" i="2"/>
  <c r="L30" i="2" s="1"/>
  <c r="D30" i="2"/>
  <c r="M30" i="2" s="1"/>
  <c r="M22" i="2"/>
  <c r="N22" i="2" l="1"/>
  <c r="H30" i="2"/>
  <c r="Q30" i="2" s="1"/>
  <c r="Q22" i="2"/>
  <c r="O22" i="2"/>
  <c r="F30" i="2"/>
  <c r="O30" i="2" s="1"/>
</calcChain>
</file>

<file path=xl/sharedStrings.xml><?xml version="1.0" encoding="utf-8"?>
<sst xmlns="http://schemas.openxmlformats.org/spreadsheetml/2006/main" count="100" uniqueCount="32">
  <si>
    <t>Sales</t>
  </si>
  <si>
    <t>COGS</t>
  </si>
  <si>
    <t>Enter from your P&amp;L</t>
  </si>
  <si>
    <t>Auto Calculated</t>
  </si>
  <si>
    <t>Instructions</t>
  </si>
  <si>
    <t>Measure</t>
  </si>
  <si>
    <t>Gross Profit</t>
  </si>
  <si>
    <t>Gross Margin</t>
  </si>
  <si>
    <t>Operating Expenses</t>
  </si>
  <si>
    <t>Salaries &amp; Wages</t>
  </si>
  <si>
    <t>Payroll Taxes &amp; Fringe Benefits</t>
  </si>
  <si>
    <t>Bonuses &amp; Commissions</t>
  </si>
  <si>
    <t>Marketing/Advertising</t>
  </si>
  <si>
    <t>Professional Fees</t>
  </si>
  <si>
    <t>Liability Insurance</t>
  </si>
  <si>
    <t>Software Expense</t>
  </si>
  <si>
    <t>Office Supplies</t>
  </si>
  <si>
    <t>Utilities</t>
  </si>
  <si>
    <t>Repairs &amp; Maintenance</t>
  </si>
  <si>
    <t>Dues &amp; Subscriptions</t>
  </si>
  <si>
    <t>Travel, Meals, &amp; Entertainment</t>
  </si>
  <si>
    <t>Total Operating Expenses</t>
  </si>
  <si>
    <t>Rent &amp; Lease Expense</t>
  </si>
  <si>
    <t>EBITDA</t>
  </si>
  <si>
    <t>Interest Expense</t>
  </si>
  <si>
    <t>Depreciation &amp; Amortization</t>
  </si>
  <si>
    <t>Extraordinary Expense:  Restructuring</t>
  </si>
  <si>
    <t>Total - Other Expenses</t>
  </si>
  <si>
    <t>Net Income/(Loss)</t>
  </si>
  <si>
    <t>Other Expenses</t>
  </si>
  <si>
    <t>EBITDA Margin</t>
  </si>
  <si>
    <t>Net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</si>
</sst>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7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3" fillId="0" borderId="7" xfId="0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5" fontId="0" fillId="0" borderId="7" xfId="3" applyNumberFormat="1" applyFont="1" applyBorder="1"/>
    <xf numFmtId="165" fontId="0" fillId="0" borderId="0" xfId="3" applyNumberFormat="1" applyFont="1" applyBorder="1"/>
    <xf numFmtId="165" fontId="0" fillId="0" borderId="8" xfId="3" applyNumberFormat="1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0" fontId="0" fillId="0" borderId="7" xfId="0" applyBorder="1" applyAlignment="1">
      <alignment horizontal="left" indent="2"/>
    </xf>
    <xf numFmtId="164" fontId="3" fillId="0" borderId="13" xfId="1" applyNumberFormat="1" applyFont="1" applyBorder="1"/>
    <xf numFmtId="164" fontId="3" fillId="0" borderId="14" xfId="1" applyNumberFormat="1" applyFont="1" applyBorder="1"/>
    <xf numFmtId="164" fontId="3" fillId="0" borderId="15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3" fillId="0" borderId="8" xfId="0" applyFont="1" applyBorder="1"/>
    <xf numFmtId="0" fontId="3" fillId="0" borderId="6" xfId="0" applyFont="1" applyBorder="1"/>
    <xf numFmtId="165" fontId="0" fillId="0" borderId="1" xfId="3" applyNumberFormat="1" applyFont="1" applyBorder="1"/>
    <xf numFmtId="165" fontId="0" fillId="0" borderId="2" xfId="3" applyNumberFormat="1" applyFont="1" applyBorder="1"/>
    <xf numFmtId="165" fontId="0" fillId="0" borderId="3" xfId="3" applyNumberFormat="1" applyFont="1" applyBorder="1"/>
    <xf numFmtId="165" fontId="3" fillId="0" borderId="9" xfId="3" applyNumberFormat="1" applyFont="1" applyBorder="1"/>
    <xf numFmtId="165" fontId="3" fillId="0" borderId="10" xfId="3" applyNumberFormat="1" applyFont="1" applyBorder="1"/>
    <xf numFmtId="165" fontId="3" fillId="0" borderId="11" xfId="3" applyNumberFormat="1" applyFont="1" applyBorder="1"/>
    <xf numFmtId="165" fontId="0" fillId="0" borderId="9" xfId="3" applyNumberFormat="1" applyFont="1" applyBorder="1"/>
    <xf numFmtId="165" fontId="0" fillId="0" borderId="10" xfId="3" applyNumberFormat="1" applyFont="1" applyBorder="1"/>
    <xf numFmtId="165" fontId="0" fillId="0" borderId="11" xfId="3" applyNumberFormat="1" applyFont="1" applyBorder="1"/>
    <xf numFmtId="165" fontId="3" fillId="0" borderId="13" xfId="3" applyNumberFormat="1" applyFont="1" applyBorder="1"/>
    <xf numFmtId="165" fontId="3" fillId="0" borderId="14" xfId="3" applyNumberFormat="1" applyFont="1" applyBorder="1"/>
    <xf numFmtId="165" fontId="3" fillId="0" borderId="15" xfId="3" applyNumberFormat="1" applyFont="1" applyBorder="1"/>
    <xf numFmtId="165" fontId="0" fillId="0" borderId="4" xfId="3" applyNumberFormat="1" applyFont="1" applyBorder="1"/>
    <xf numFmtId="165" fontId="0" fillId="0" borderId="5" xfId="3" applyNumberFormat="1" applyFont="1" applyBorder="1"/>
    <xf numFmtId="165" fontId="0" fillId="0" borderId="6" xfId="3" applyNumberFormat="1" applyFont="1" applyBorder="1"/>
    <xf numFmtId="164" fontId="0" fillId="0" borderId="7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</cellXfs>
  <cellStyles count="4">
    <cellStyle name="Currency" xfId="1" builtinId="4"/>
    <cellStyle name="Normal" xfId="0" builtinId="0"/>
    <cellStyle name="Normal 2" xfId="2" xr:uid="{94BF6BBE-CD6C-4295-A2A4-C5EAA617ACE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0935-062E-4FD5-8160-7017FC521A90}">
  <sheetPr>
    <pageSetUpPr fitToPage="1"/>
  </sheetPr>
  <dimension ref="A1:Q31"/>
  <sheetViews>
    <sheetView showGridLines="0" tabSelected="1" zoomScale="85" zoomScaleNormal="85" workbookViewId="0">
      <selection activeCell="A40" sqref="A40"/>
    </sheetView>
  </sheetViews>
  <sheetFormatPr defaultRowHeight="14.4" x14ac:dyDescent="0.3"/>
  <cols>
    <col min="1" max="1" width="38.77734375" customWidth="1"/>
    <col min="2" max="2" width="27.6640625" customWidth="1"/>
    <col min="3" max="8" width="13.6640625" customWidth="1"/>
    <col min="9" max="9" width="2" customWidth="1"/>
    <col min="10" max="10" width="38.77734375" customWidth="1"/>
    <col min="11" max="11" width="14.6640625" bestFit="1" customWidth="1"/>
    <col min="12" max="17" width="9.6640625" customWidth="1"/>
  </cols>
  <sheetData>
    <row r="1" spans="1:17" ht="15" thickBot="1" x14ac:dyDescent="0.35">
      <c r="A1" s="12" t="s">
        <v>5</v>
      </c>
      <c r="B1" s="12" t="s">
        <v>4</v>
      </c>
      <c r="C1" s="10">
        <v>2019</v>
      </c>
      <c r="D1" s="11">
        <v>2020</v>
      </c>
      <c r="E1" s="11">
        <v>2021</v>
      </c>
      <c r="F1" s="11">
        <v>2022</v>
      </c>
      <c r="G1" s="10">
        <v>2023</v>
      </c>
      <c r="H1" s="10">
        <v>2024</v>
      </c>
      <c r="J1" s="12" t="s">
        <v>5</v>
      </c>
      <c r="K1" s="12" t="s">
        <v>4</v>
      </c>
      <c r="L1" s="10">
        <v>2019</v>
      </c>
      <c r="M1" s="11">
        <v>2020</v>
      </c>
      <c r="N1" s="11">
        <v>2021</v>
      </c>
      <c r="O1" s="11">
        <v>2022</v>
      </c>
      <c r="P1" s="10">
        <v>2023</v>
      </c>
      <c r="Q1" s="10">
        <v>2024</v>
      </c>
    </row>
    <row r="2" spans="1:17" x14ac:dyDescent="0.3">
      <c r="A2" s="13" t="s">
        <v>0</v>
      </c>
      <c r="B2" s="9" t="s">
        <v>2</v>
      </c>
      <c r="C2" s="4">
        <v>15000000</v>
      </c>
      <c r="D2" s="5">
        <v>20000000</v>
      </c>
      <c r="E2" s="5">
        <v>26500000</v>
      </c>
      <c r="F2" s="5">
        <v>29500000</v>
      </c>
      <c r="G2" s="5">
        <v>27500000</v>
      </c>
      <c r="H2" s="6">
        <v>32000000</v>
      </c>
      <c r="J2" s="13" t="s">
        <v>0</v>
      </c>
      <c r="K2" s="9" t="s">
        <v>3</v>
      </c>
      <c r="L2" s="32">
        <f t="shared" ref="L2:Q4" si="0">C2/C$2</f>
        <v>1</v>
      </c>
      <c r="M2" s="33">
        <f t="shared" si="0"/>
        <v>1</v>
      </c>
      <c r="N2" s="33">
        <f t="shared" si="0"/>
        <v>1</v>
      </c>
      <c r="O2" s="33">
        <f t="shared" si="0"/>
        <v>1</v>
      </c>
      <c r="P2" s="33">
        <f t="shared" si="0"/>
        <v>1</v>
      </c>
      <c r="Q2" s="34">
        <f t="shared" si="0"/>
        <v>1</v>
      </c>
    </row>
    <row r="3" spans="1:17" x14ac:dyDescent="0.3">
      <c r="A3" s="8" t="s">
        <v>1</v>
      </c>
      <c r="B3" s="9" t="s">
        <v>2</v>
      </c>
      <c r="C3" s="1">
        <f>C2*0.6</f>
        <v>9000000</v>
      </c>
      <c r="D3" s="2">
        <f>D2*0.65</f>
        <v>13000000</v>
      </c>
      <c r="E3" s="2">
        <f>E2*0.7</f>
        <v>18550000</v>
      </c>
      <c r="F3" s="2">
        <f>F2*0.75</f>
        <v>22125000</v>
      </c>
      <c r="G3" s="2">
        <f>G2*0.725</f>
        <v>19937500</v>
      </c>
      <c r="H3" s="3">
        <f>H2*0.715</f>
        <v>22880000</v>
      </c>
      <c r="J3" s="8" t="s">
        <v>1</v>
      </c>
      <c r="K3" s="9" t="s">
        <v>3</v>
      </c>
      <c r="L3" s="17">
        <f t="shared" si="0"/>
        <v>0.6</v>
      </c>
      <c r="M3" s="18">
        <f t="shared" si="0"/>
        <v>0.65</v>
      </c>
      <c r="N3" s="18">
        <f t="shared" si="0"/>
        <v>0.7</v>
      </c>
      <c r="O3" s="18">
        <f t="shared" si="0"/>
        <v>0.75</v>
      </c>
      <c r="P3" s="18">
        <f t="shared" si="0"/>
        <v>0.72499999999999998</v>
      </c>
      <c r="Q3" s="19">
        <f t="shared" si="0"/>
        <v>0.71499999999999997</v>
      </c>
    </row>
    <row r="4" spans="1:17" x14ac:dyDescent="0.3">
      <c r="A4" s="13" t="s">
        <v>6</v>
      </c>
      <c r="B4" s="9" t="s">
        <v>3</v>
      </c>
      <c r="C4" s="20">
        <f>C2-C3</f>
        <v>6000000</v>
      </c>
      <c r="D4" s="21">
        <f t="shared" ref="D4:H4" si="1">D2-D3</f>
        <v>7000000</v>
      </c>
      <c r="E4" s="21">
        <f t="shared" si="1"/>
        <v>7950000</v>
      </c>
      <c r="F4" s="21">
        <f t="shared" si="1"/>
        <v>7375000</v>
      </c>
      <c r="G4" s="21">
        <f t="shared" si="1"/>
        <v>7562500</v>
      </c>
      <c r="H4" s="22">
        <f t="shared" si="1"/>
        <v>9120000</v>
      </c>
      <c r="J4" s="13" t="s">
        <v>7</v>
      </c>
      <c r="K4" s="9" t="s">
        <v>3</v>
      </c>
      <c r="L4" s="35">
        <f t="shared" si="0"/>
        <v>0.4</v>
      </c>
      <c r="M4" s="36">
        <f t="shared" si="0"/>
        <v>0.35</v>
      </c>
      <c r="N4" s="36">
        <f t="shared" si="0"/>
        <v>0.3</v>
      </c>
      <c r="O4" s="36">
        <f t="shared" si="0"/>
        <v>0.25</v>
      </c>
      <c r="P4" s="36">
        <f t="shared" si="0"/>
        <v>0.27500000000000002</v>
      </c>
      <c r="Q4" s="37">
        <f t="shared" si="0"/>
        <v>0.28499999999999998</v>
      </c>
    </row>
    <row r="5" spans="1:17" x14ac:dyDescent="0.3">
      <c r="A5" s="8"/>
      <c r="B5" s="9"/>
      <c r="C5" s="17"/>
      <c r="D5" s="18"/>
      <c r="E5" s="18"/>
      <c r="F5" s="18"/>
      <c r="G5" s="18"/>
      <c r="H5" s="19"/>
      <c r="J5" s="8"/>
      <c r="K5" s="9"/>
      <c r="L5" s="17"/>
      <c r="M5" s="18"/>
      <c r="N5" s="18"/>
      <c r="O5" s="18"/>
      <c r="P5" s="18"/>
      <c r="Q5" s="19"/>
    </row>
    <row r="6" spans="1:17" x14ac:dyDescent="0.3">
      <c r="A6" s="13" t="s">
        <v>8</v>
      </c>
      <c r="B6" s="9"/>
      <c r="C6" s="1"/>
      <c r="D6" s="2"/>
      <c r="E6" s="2"/>
      <c r="F6" s="2"/>
      <c r="G6" s="2"/>
      <c r="H6" s="3"/>
      <c r="J6" s="13" t="s">
        <v>8</v>
      </c>
      <c r="K6" s="9"/>
      <c r="L6" s="17"/>
      <c r="M6" s="18"/>
      <c r="N6" s="18"/>
      <c r="O6" s="18"/>
      <c r="P6" s="18"/>
      <c r="Q6" s="19"/>
    </row>
    <row r="7" spans="1:17" x14ac:dyDescent="0.3">
      <c r="A7" s="23" t="s">
        <v>9</v>
      </c>
      <c r="B7" s="9" t="s">
        <v>2</v>
      </c>
      <c r="C7" s="1">
        <v>2500000</v>
      </c>
      <c r="D7" s="2">
        <v>3500000</v>
      </c>
      <c r="E7" s="2">
        <v>4500000</v>
      </c>
      <c r="F7" s="2">
        <v>5200000</v>
      </c>
      <c r="G7" s="2">
        <v>5350000</v>
      </c>
      <c r="H7" s="3">
        <v>4750000</v>
      </c>
      <c r="J7" s="23" t="s">
        <v>9</v>
      </c>
      <c r="K7" s="9" t="s">
        <v>3</v>
      </c>
      <c r="L7" s="17">
        <f t="shared" ref="L7:L20" si="2">C7/C$2</f>
        <v>0.16666666666666666</v>
      </c>
      <c r="M7" s="18">
        <f t="shared" ref="M7:M20" si="3">D7/D$2</f>
        <v>0.17499999999999999</v>
      </c>
      <c r="N7" s="18">
        <f t="shared" ref="N7:N20" si="4">E7/E$2</f>
        <v>0.16981132075471697</v>
      </c>
      <c r="O7" s="18">
        <f t="shared" ref="O7:O20" si="5">F7/F$2</f>
        <v>0.17627118644067796</v>
      </c>
      <c r="P7" s="18">
        <f t="shared" ref="P7:P20" si="6">G7/G$2</f>
        <v>0.19454545454545455</v>
      </c>
      <c r="Q7" s="19">
        <f t="shared" ref="Q7:Q20" si="7">H7/H$2</f>
        <v>0.1484375</v>
      </c>
    </row>
    <row r="8" spans="1:17" x14ac:dyDescent="0.3">
      <c r="A8" s="23" t="s">
        <v>11</v>
      </c>
      <c r="B8" s="9" t="s">
        <v>2</v>
      </c>
      <c r="C8" s="47">
        <v>450000</v>
      </c>
      <c r="D8" s="48">
        <v>600000</v>
      </c>
      <c r="E8" s="48">
        <v>795000</v>
      </c>
      <c r="F8" s="48">
        <v>442500</v>
      </c>
      <c r="G8" s="48">
        <v>550000</v>
      </c>
      <c r="H8" s="49">
        <v>640000</v>
      </c>
      <c r="J8" s="23" t="s">
        <v>11</v>
      </c>
      <c r="K8" s="9" t="s">
        <v>3</v>
      </c>
      <c r="L8" s="17">
        <f t="shared" si="2"/>
        <v>0.03</v>
      </c>
      <c r="M8" s="18">
        <f t="shared" si="3"/>
        <v>0.03</v>
      </c>
      <c r="N8" s="18">
        <f t="shared" si="4"/>
        <v>0.03</v>
      </c>
      <c r="O8" s="18">
        <f t="shared" si="5"/>
        <v>1.4999999999999999E-2</v>
      </c>
      <c r="P8" s="18">
        <f t="shared" si="6"/>
        <v>0.02</v>
      </c>
      <c r="Q8" s="19">
        <f t="shared" si="7"/>
        <v>0.02</v>
      </c>
    </row>
    <row r="9" spans="1:17" x14ac:dyDescent="0.3">
      <c r="A9" s="23" t="s">
        <v>10</v>
      </c>
      <c r="B9" s="9" t="s">
        <v>2</v>
      </c>
      <c r="C9" s="47">
        <f>SUM(C7:C8)*0.195</f>
        <v>575250</v>
      </c>
      <c r="D9" s="48">
        <f t="shared" ref="D9:H9" si="8">SUM(D7:D8)*0.195</f>
        <v>799500</v>
      </c>
      <c r="E9" s="48">
        <f t="shared" si="8"/>
        <v>1032525</v>
      </c>
      <c r="F9" s="48">
        <f t="shared" si="8"/>
        <v>1100287.5</v>
      </c>
      <c r="G9" s="48">
        <f t="shared" si="8"/>
        <v>1150500</v>
      </c>
      <c r="H9" s="49">
        <f t="shared" si="8"/>
        <v>1051050</v>
      </c>
      <c r="J9" s="23" t="s">
        <v>10</v>
      </c>
      <c r="K9" s="9" t="s">
        <v>3</v>
      </c>
      <c r="L9" s="17">
        <f t="shared" si="2"/>
        <v>3.8350000000000002E-2</v>
      </c>
      <c r="M9" s="18">
        <f t="shared" si="3"/>
        <v>3.9974999999999997E-2</v>
      </c>
      <c r="N9" s="18">
        <f t="shared" si="4"/>
        <v>3.8963207547169809E-2</v>
      </c>
      <c r="O9" s="18">
        <f t="shared" si="5"/>
        <v>3.7297881355932205E-2</v>
      </c>
      <c r="P9" s="18">
        <f t="shared" si="6"/>
        <v>4.1836363636363637E-2</v>
      </c>
      <c r="Q9" s="19">
        <f t="shared" si="7"/>
        <v>3.2845312500000001E-2</v>
      </c>
    </row>
    <row r="10" spans="1:17" x14ac:dyDescent="0.3">
      <c r="A10" s="23" t="s">
        <v>12</v>
      </c>
      <c r="B10" s="9" t="s">
        <v>2</v>
      </c>
      <c r="C10" s="47">
        <v>15000</v>
      </c>
      <c r="D10" s="48">
        <v>150000</v>
      </c>
      <c r="E10" s="48">
        <v>250000</v>
      </c>
      <c r="F10" s="48">
        <v>450000</v>
      </c>
      <c r="G10" s="48">
        <v>250000</v>
      </c>
      <c r="H10" s="49">
        <v>150000</v>
      </c>
      <c r="J10" s="23" t="s">
        <v>12</v>
      </c>
      <c r="K10" s="9" t="s">
        <v>3</v>
      </c>
      <c r="L10" s="17">
        <f t="shared" si="2"/>
        <v>1E-3</v>
      </c>
      <c r="M10" s="18">
        <f t="shared" si="3"/>
        <v>7.4999999999999997E-3</v>
      </c>
      <c r="N10" s="18">
        <f t="shared" si="4"/>
        <v>9.433962264150943E-3</v>
      </c>
      <c r="O10" s="18">
        <f t="shared" si="5"/>
        <v>1.5254237288135594E-2</v>
      </c>
      <c r="P10" s="18">
        <f t="shared" si="6"/>
        <v>9.0909090909090905E-3</v>
      </c>
      <c r="Q10" s="19">
        <f t="shared" si="7"/>
        <v>4.6874999999999998E-3</v>
      </c>
    </row>
    <row r="11" spans="1:17" x14ac:dyDescent="0.3">
      <c r="A11" s="23" t="s">
        <v>13</v>
      </c>
      <c r="B11" s="9" t="s">
        <v>2</v>
      </c>
      <c r="C11" s="1">
        <f>5000-3000</f>
        <v>2000</v>
      </c>
      <c r="D11" s="2">
        <f>-15000+25000</f>
        <v>10000</v>
      </c>
      <c r="E11" s="2">
        <f>50000-40000</f>
        <v>10000</v>
      </c>
      <c r="F11" s="2">
        <f>150000-75000</f>
        <v>75000</v>
      </c>
      <c r="G11" s="2">
        <f>200000-85000</f>
        <v>115000</v>
      </c>
      <c r="H11" s="3">
        <f>125000-30000</f>
        <v>95000</v>
      </c>
      <c r="J11" s="23" t="s">
        <v>13</v>
      </c>
      <c r="K11" s="9" t="s">
        <v>3</v>
      </c>
      <c r="L11" s="17">
        <f t="shared" si="2"/>
        <v>1.3333333333333334E-4</v>
      </c>
      <c r="M11" s="18">
        <f t="shared" si="3"/>
        <v>5.0000000000000001E-4</v>
      </c>
      <c r="N11" s="18">
        <f t="shared" si="4"/>
        <v>3.7735849056603772E-4</v>
      </c>
      <c r="O11" s="18">
        <f t="shared" si="5"/>
        <v>2.542372881355932E-3</v>
      </c>
      <c r="P11" s="18">
        <f t="shared" si="6"/>
        <v>4.1818181818181815E-3</v>
      </c>
      <c r="Q11" s="19">
        <f t="shared" si="7"/>
        <v>2.96875E-3</v>
      </c>
    </row>
    <row r="12" spans="1:17" x14ac:dyDescent="0.3">
      <c r="A12" s="23" t="s">
        <v>14</v>
      </c>
      <c r="B12" s="9" t="s">
        <v>2</v>
      </c>
      <c r="C12" s="1">
        <f>C6*0.1</f>
        <v>0</v>
      </c>
      <c r="D12" s="2">
        <v>125000</v>
      </c>
      <c r="E12" s="2">
        <v>150000</v>
      </c>
      <c r="F12" s="2">
        <v>175000</v>
      </c>
      <c r="G12" s="2">
        <v>190000</v>
      </c>
      <c r="H12" s="3">
        <v>150000</v>
      </c>
      <c r="J12" s="23" t="s">
        <v>14</v>
      </c>
      <c r="K12" s="9" t="s">
        <v>3</v>
      </c>
      <c r="L12" s="17">
        <f t="shared" si="2"/>
        <v>0</v>
      </c>
      <c r="M12" s="18">
        <f t="shared" si="3"/>
        <v>6.2500000000000003E-3</v>
      </c>
      <c r="N12" s="18">
        <f t="shared" si="4"/>
        <v>5.6603773584905656E-3</v>
      </c>
      <c r="O12" s="18">
        <f t="shared" si="5"/>
        <v>5.9322033898305086E-3</v>
      </c>
      <c r="P12" s="18">
        <f t="shared" si="6"/>
        <v>6.909090909090909E-3</v>
      </c>
      <c r="Q12" s="19">
        <f t="shared" si="7"/>
        <v>4.6874999999999998E-3</v>
      </c>
    </row>
    <row r="13" spans="1:17" x14ac:dyDescent="0.3">
      <c r="A13" s="23" t="s">
        <v>15</v>
      </c>
      <c r="B13" s="9" t="s">
        <v>2</v>
      </c>
      <c r="C13" s="1">
        <v>5000</v>
      </c>
      <c r="D13" s="2">
        <v>7500</v>
      </c>
      <c r="E13" s="2">
        <v>6500</v>
      </c>
      <c r="F13" s="2">
        <v>25000</v>
      </c>
      <c r="G13" s="2">
        <v>75000</v>
      </c>
      <c r="H13" s="3">
        <v>50000</v>
      </c>
      <c r="J13" s="23" t="s">
        <v>15</v>
      </c>
      <c r="K13" s="9" t="s">
        <v>3</v>
      </c>
      <c r="L13" s="17">
        <f t="shared" si="2"/>
        <v>3.3333333333333332E-4</v>
      </c>
      <c r="M13" s="18">
        <f t="shared" si="3"/>
        <v>3.7500000000000001E-4</v>
      </c>
      <c r="N13" s="18">
        <f t="shared" si="4"/>
        <v>2.4528301886792453E-4</v>
      </c>
      <c r="O13" s="18">
        <f t="shared" si="5"/>
        <v>8.4745762711864404E-4</v>
      </c>
      <c r="P13" s="18">
        <f t="shared" si="6"/>
        <v>2.7272727272727275E-3</v>
      </c>
      <c r="Q13" s="19">
        <f t="shared" si="7"/>
        <v>1.5625000000000001E-3</v>
      </c>
    </row>
    <row r="14" spans="1:17" x14ac:dyDescent="0.3">
      <c r="A14" s="23" t="s">
        <v>20</v>
      </c>
      <c r="B14" s="9" t="s">
        <v>2</v>
      </c>
      <c r="C14" s="1">
        <v>2500</v>
      </c>
      <c r="D14" s="2">
        <v>25000</v>
      </c>
      <c r="E14" s="2">
        <v>50000</v>
      </c>
      <c r="F14" s="2">
        <v>100000</v>
      </c>
      <c r="G14" s="2">
        <v>130000</v>
      </c>
      <c r="H14" s="3">
        <v>105000</v>
      </c>
      <c r="J14" s="23" t="s">
        <v>20</v>
      </c>
      <c r="K14" s="9" t="s">
        <v>3</v>
      </c>
      <c r="L14" s="17">
        <f t="shared" si="2"/>
        <v>1.6666666666666666E-4</v>
      </c>
      <c r="M14" s="18">
        <f t="shared" si="3"/>
        <v>1.25E-3</v>
      </c>
      <c r="N14" s="18">
        <f t="shared" si="4"/>
        <v>1.8867924528301887E-3</v>
      </c>
      <c r="O14" s="18">
        <f t="shared" si="5"/>
        <v>3.3898305084745762E-3</v>
      </c>
      <c r="P14" s="18">
        <f t="shared" si="6"/>
        <v>4.7272727272727275E-3</v>
      </c>
      <c r="Q14" s="19">
        <f t="shared" si="7"/>
        <v>3.2812499999999999E-3</v>
      </c>
    </row>
    <row r="15" spans="1:17" x14ac:dyDescent="0.3">
      <c r="A15" s="23" t="s">
        <v>16</v>
      </c>
      <c r="B15" s="9" t="s">
        <v>2</v>
      </c>
      <c r="C15" s="1">
        <v>1000</v>
      </c>
      <c r="D15" s="2">
        <v>2500</v>
      </c>
      <c r="E15" s="2">
        <v>15000</v>
      </c>
      <c r="F15" s="2">
        <v>25000</v>
      </c>
      <c r="G15" s="2">
        <v>27000</v>
      </c>
      <c r="H15" s="3">
        <v>20000</v>
      </c>
      <c r="J15" s="23" t="s">
        <v>16</v>
      </c>
      <c r="K15" s="9" t="s">
        <v>3</v>
      </c>
      <c r="L15" s="17">
        <f t="shared" si="2"/>
        <v>6.666666666666667E-5</v>
      </c>
      <c r="M15" s="18">
        <f t="shared" si="3"/>
        <v>1.25E-4</v>
      </c>
      <c r="N15" s="18">
        <f t="shared" si="4"/>
        <v>5.6603773584905663E-4</v>
      </c>
      <c r="O15" s="18">
        <f t="shared" si="5"/>
        <v>8.4745762711864404E-4</v>
      </c>
      <c r="P15" s="18">
        <f t="shared" si="6"/>
        <v>9.8181818181818179E-4</v>
      </c>
      <c r="Q15" s="19">
        <f t="shared" si="7"/>
        <v>6.2500000000000001E-4</v>
      </c>
    </row>
    <row r="16" spans="1:17" x14ac:dyDescent="0.3">
      <c r="A16" s="23" t="s">
        <v>17</v>
      </c>
      <c r="B16" s="9" t="s">
        <v>2</v>
      </c>
      <c r="C16" s="1">
        <v>1500</v>
      </c>
      <c r="D16" s="2">
        <v>2000</v>
      </c>
      <c r="E16" s="2">
        <v>3800</v>
      </c>
      <c r="F16" s="2">
        <v>4200</v>
      </c>
      <c r="G16" s="2">
        <v>5000</v>
      </c>
      <c r="H16" s="3">
        <v>4700</v>
      </c>
      <c r="J16" s="23" t="s">
        <v>17</v>
      </c>
      <c r="K16" s="9" t="s">
        <v>3</v>
      </c>
      <c r="L16" s="17">
        <f t="shared" si="2"/>
        <v>1E-4</v>
      </c>
      <c r="M16" s="18">
        <f t="shared" si="3"/>
        <v>1E-4</v>
      </c>
      <c r="N16" s="18">
        <f t="shared" si="4"/>
        <v>1.4339622641509434E-4</v>
      </c>
      <c r="O16" s="18">
        <f t="shared" si="5"/>
        <v>1.423728813559322E-4</v>
      </c>
      <c r="P16" s="18">
        <f t="shared" si="6"/>
        <v>1.8181818181818181E-4</v>
      </c>
      <c r="Q16" s="19">
        <f t="shared" si="7"/>
        <v>1.4687500000000001E-4</v>
      </c>
    </row>
    <row r="17" spans="1:17" x14ac:dyDescent="0.3">
      <c r="A17" s="23" t="s">
        <v>18</v>
      </c>
      <c r="B17" s="9" t="s">
        <v>2</v>
      </c>
      <c r="C17" s="1">
        <v>750</v>
      </c>
      <c r="D17" s="2">
        <v>1500</v>
      </c>
      <c r="E17" s="2">
        <v>5000</v>
      </c>
      <c r="F17" s="2">
        <v>15000</v>
      </c>
      <c r="G17" s="2">
        <v>25000</v>
      </c>
      <c r="H17" s="3">
        <v>17000</v>
      </c>
      <c r="J17" s="23" t="s">
        <v>18</v>
      </c>
      <c r="K17" s="9" t="s">
        <v>3</v>
      </c>
      <c r="L17" s="17">
        <f t="shared" si="2"/>
        <v>5.0000000000000002E-5</v>
      </c>
      <c r="M17" s="18">
        <f t="shared" si="3"/>
        <v>7.4999999999999993E-5</v>
      </c>
      <c r="N17" s="18">
        <f t="shared" si="4"/>
        <v>1.8867924528301886E-4</v>
      </c>
      <c r="O17" s="18">
        <f t="shared" si="5"/>
        <v>5.0847457627118645E-4</v>
      </c>
      <c r="P17" s="18">
        <f t="shared" si="6"/>
        <v>9.0909090909090909E-4</v>
      </c>
      <c r="Q17" s="19">
        <f t="shared" si="7"/>
        <v>5.3125000000000004E-4</v>
      </c>
    </row>
    <row r="18" spans="1:17" x14ac:dyDescent="0.3">
      <c r="A18" s="23" t="s">
        <v>19</v>
      </c>
      <c r="B18" s="9" t="s">
        <v>2</v>
      </c>
      <c r="C18" s="1">
        <v>12000</v>
      </c>
      <c r="D18" s="2">
        <v>18000</v>
      </c>
      <c r="E18" s="2">
        <v>25000</v>
      </c>
      <c r="F18" s="2">
        <v>30000</v>
      </c>
      <c r="G18" s="2">
        <v>35000</v>
      </c>
      <c r="H18" s="3">
        <v>25000</v>
      </c>
      <c r="J18" s="23" t="s">
        <v>19</v>
      </c>
      <c r="K18" s="9" t="s">
        <v>3</v>
      </c>
      <c r="L18" s="17">
        <f t="shared" si="2"/>
        <v>8.0000000000000004E-4</v>
      </c>
      <c r="M18" s="18">
        <f t="shared" si="3"/>
        <v>8.9999999999999998E-4</v>
      </c>
      <c r="N18" s="18">
        <f t="shared" si="4"/>
        <v>9.4339622641509435E-4</v>
      </c>
      <c r="O18" s="18">
        <f t="shared" si="5"/>
        <v>1.0169491525423729E-3</v>
      </c>
      <c r="P18" s="18">
        <f t="shared" si="6"/>
        <v>1.2727272727272728E-3</v>
      </c>
      <c r="Q18" s="19">
        <f t="shared" si="7"/>
        <v>7.8125000000000004E-4</v>
      </c>
    </row>
    <row r="19" spans="1:17" x14ac:dyDescent="0.3">
      <c r="A19" s="23" t="s">
        <v>22</v>
      </c>
      <c r="B19" s="9" t="s">
        <v>2</v>
      </c>
      <c r="C19" s="1">
        <v>1950</v>
      </c>
      <c r="D19" s="2">
        <f>2500+12350</f>
        <v>14850</v>
      </c>
      <c r="E19" s="2">
        <f>5000-138</f>
        <v>4862</v>
      </c>
      <c r="F19" s="2">
        <f>15000-5405</f>
        <v>9595</v>
      </c>
      <c r="G19" s="2">
        <f>25000-11963</f>
        <v>13037</v>
      </c>
      <c r="H19" s="3">
        <f>7500+8778</f>
        <v>16278</v>
      </c>
      <c r="J19" s="23" t="s">
        <v>22</v>
      </c>
      <c r="K19" s="9" t="s">
        <v>3</v>
      </c>
      <c r="L19" s="17">
        <f t="shared" si="2"/>
        <v>1.2999999999999999E-4</v>
      </c>
      <c r="M19" s="18">
        <f t="shared" si="3"/>
        <v>7.425E-4</v>
      </c>
      <c r="N19" s="18">
        <f t="shared" si="4"/>
        <v>1.8347169811320753E-4</v>
      </c>
      <c r="O19" s="18">
        <f t="shared" si="5"/>
        <v>3.2525423728813562E-4</v>
      </c>
      <c r="P19" s="18">
        <f t="shared" si="6"/>
        <v>4.7407272727272725E-4</v>
      </c>
      <c r="Q19" s="19">
        <f t="shared" si="7"/>
        <v>5.0868750000000003E-4</v>
      </c>
    </row>
    <row r="20" spans="1:17" x14ac:dyDescent="0.3">
      <c r="A20" s="13" t="s">
        <v>21</v>
      </c>
      <c r="B20" s="9" t="s">
        <v>3</v>
      </c>
      <c r="C20" s="14">
        <f>SUM(C7:C19)</f>
        <v>3566950</v>
      </c>
      <c r="D20" s="15">
        <f t="shared" ref="D20:H20" si="9">SUM(D7:D19)</f>
        <v>5255850</v>
      </c>
      <c r="E20" s="15">
        <f t="shared" si="9"/>
        <v>6847687</v>
      </c>
      <c r="F20" s="15">
        <f t="shared" si="9"/>
        <v>7651582.5</v>
      </c>
      <c r="G20" s="15">
        <f t="shared" si="9"/>
        <v>7915537</v>
      </c>
      <c r="H20" s="16">
        <f t="shared" si="9"/>
        <v>7074028</v>
      </c>
      <c r="J20" s="13" t="s">
        <v>21</v>
      </c>
      <c r="K20" s="9" t="s">
        <v>3</v>
      </c>
      <c r="L20" s="38">
        <f t="shared" si="2"/>
        <v>0.23779666666666666</v>
      </c>
      <c r="M20" s="39">
        <f t="shared" si="3"/>
        <v>0.26279249999999998</v>
      </c>
      <c r="N20" s="39">
        <f t="shared" si="4"/>
        <v>0.25840328301886795</v>
      </c>
      <c r="O20" s="39">
        <f t="shared" si="5"/>
        <v>0.25937567796610167</v>
      </c>
      <c r="P20" s="39">
        <f t="shared" si="6"/>
        <v>0.28783770909090911</v>
      </c>
      <c r="Q20" s="40">
        <f t="shared" si="7"/>
        <v>0.22106337500000001</v>
      </c>
    </row>
    <row r="21" spans="1:17" x14ac:dyDescent="0.3">
      <c r="A21" s="23"/>
      <c r="B21" s="30"/>
      <c r="C21" s="1"/>
      <c r="D21" s="2"/>
      <c r="E21" s="2"/>
      <c r="F21" s="2"/>
      <c r="G21" s="2"/>
      <c r="H21" s="3"/>
      <c r="J21" s="23"/>
      <c r="K21" s="30"/>
      <c r="L21" s="17"/>
      <c r="M21" s="18"/>
      <c r="N21" s="18"/>
      <c r="O21" s="18"/>
      <c r="P21" s="18"/>
      <c r="Q21" s="19"/>
    </row>
    <row r="22" spans="1:17" x14ac:dyDescent="0.3">
      <c r="A22" s="13" t="s">
        <v>23</v>
      </c>
      <c r="B22" s="9" t="s">
        <v>3</v>
      </c>
      <c r="C22" s="20">
        <f>C4-C20</f>
        <v>2433050</v>
      </c>
      <c r="D22" s="21">
        <f t="shared" ref="D22:H22" si="10">D4-D20</f>
        <v>1744150</v>
      </c>
      <c r="E22" s="21">
        <f t="shared" si="10"/>
        <v>1102313</v>
      </c>
      <c r="F22" s="21">
        <f t="shared" si="10"/>
        <v>-276582.5</v>
      </c>
      <c r="G22" s="21">
        <f t="shared" si="10"/>
        <v>-353037</v>
      </c>
      <c r="H22" s="22">
        <f t="shared" si="10"/>
        <v>2045972</v>
      </c>
      <c r="J22" s="13" t="s">
        <v>30</v>
      </c>
      <c r="K22" s="9" t="s">
        <v>3</v>
      </c>
      <c r="L22" s="35">
        <f t="shared" ref="L22:Q22" si="11">C22/C$2</f>
        <v>0.16220333333333334</v>
      </c>
      <c r="M22" s="36">
        <f t="shared" si="11"/>
        <v>8.7207499999999993E-2</v>
      </c>
      <c r="N22" s="36">
        <f t="shared" si="11"/>
        <v>4.1596716981132077E-2</v>
      </c>
      <c r="O22" s="36">
        <f t="shared" si="11"/>
        <v>-9.3756779661016941E-3</v>
      </c>
      <c r="P22" s="36">
        <f t="shared" si="11"/>
        <v>-1.283770909090909E-2</v>
      </c>
      <c r="Q22" s="37">
        <f t="shared" si="11"/>
        <v>6.3936624999999997E-2</v>
      </c>
    </row>
    <row r="23" spans="1:17" x14ac:dyDescent="0.3">
      <c r="A23" s="23"/>
      <c r="B23" s="30"/>
      <c r="C23" s="1"/>
      <c r="D23" s="2"/>
      <c r="E23" s="2"/>
      <c r="F23" s="2"/>
      <c r="G23" s="2"/>
      <c r="H23" s="3"/>
      <c r="J23" s="23"/>
      <c r="K23" s="30"/>
      <c r="L23" s="17"/>
      <c r="M23" s="18"/>
      <c r="N23" s="18"/>
      <c r="O23" s="18"/>
      <c r="P23" s="18"/>
      <c r="Q23" s="19"/>
    </row>
    <row r="24" spans="1:17" x14ac:dyDescent="0.3">
      <c r="A24" s="13" t="s">
        <v>29</v>
      </c>
      <c r="B24" s="30"/>
      <c r="C24" s="1"/>
      <c r="D24" s="2"/>
      <c r="E24" s="2"/>
      <c r="F24" s="2"/>
      <c r="G24" s="2"/>
      <c r="H24" s="3"/>
      <c r="J24" s="13" t="s">
        <v>29</v>
      </c>
      <c r="K24" s="30"/>
      <c r="L24" s="17"/>
      <c r="M24" s="18"/>
      <c r="N24" s="18"/>
      <c r="O24" s="18"/>
      <c r="P24" s="18"/>
      <c r="Q24" s="19"/>
    </row>
    <row r="25" spans="1:17" x14ac:dyDescent="0.3">
      <c r="A25" s="23" t="s">
        <v>24</v>
      </c>
      <c r="B25" s="9" t="s">
        <v>2</v>
      </c>
      <c r="C25" s="1">
        <v>500</v>
      </c>
      <c r="D25" s="2">
        <v>5000</v>
      </c>
      <c r="E25" s="2">
        <v>15000</v>
      </c>
      <c r="F25" s="2">
        <v>25000</v>
      </c>
      <c r="G25" s="2">
        <v>50000</v>
      </c>
      <c r="H25" s="3">
        <v>5000</v>
      </c>
      <c r="J25" s="23" t="s">
        <v>24</v>
      </c>
      <c r="K25" s="9" t="s">
        <v>3</v>
      </c>
      <c r="L25" s="17">
        <f t="shared" ref="L25:Q28" si="12">C25/C$2</f>
        <v>3.3333333333333335E-5</v>
      </c>
      <c r="M25" s="18">
        <f t="shared" si="12"/>
        <v>2.5000000000000001E-4</v>
      </c>
      <c r="N25" s="18">
        <f t="shared" si="12"/>
        <v>5.6603773584905663E-4</v>
      </c>
      <c r="O25" s="18">
        <f t="shared" si="12"/>
        <v>8.4745762711864404E-4</v>
      </c>
      <c r="P25" s="18">
        <f t="shared" si="12"/>
        <v>1.8181818181818182E-3</v>
      </c>
      <c r="Q25" s="19">
        <f t="shared" si="12"/>
        <v>1.5625E-4</v>
      </c>
    </row>
    <row r="26" spans="1:17" x14ac:dyDescent="0.3">
      <c r="A26" s="23" t="s">
        <v>25</v>
      </c>
      <c r="B26" s="9" t="s">
        <v>2</v>
      </c>
      <c r="C26" s="1">
        <v>2500</v>
      </c>
      <c r="D26" s="2">
        <v>10000</v>
      </c>
      <c r="E26" s="2">
        <v>25000</v>
      </c>
      <c r="F26" s="2">
        <v>50000</v>
      </c>
      <c r="G26" s="2">
        <v>35000</v>
      </c>
      <c r="H26" s="3">
        <v>25000</v>
      </c>
      <c r="J26" s="23" t="s">
        <v>25</v>
      </c>
      <c r="K26" s="9" t="s">
        <v>3</v>
      </c>
      <c r="L26" s="17">
        <f t="shared" si="12"/>
        <v>1.6666666666666666E-4</v>
      </c>
      <c r="M26" s="18">
        <f t="shared" si="12"/>
        <v>5.0000000000000001E-4</v>
      </c>
      <c r="N26" s="18">
        <f t="shared" si="12"/>
        <v>9.4339622641509435E-4</v>
      </c>
      <c r="O26" s="18">
        <f t="shared" si="12"/>
        <v>1.6949152542372881E-3</v>
      </c>
      <c r="P26" s="18">
        <f t="shared" si="12"/>
        <v>1.2727272727272728E-3</v>
      </c>
      <c r="Q26" s="19">
        <f t="shared" si="12"/>
        <v>7.8125000000000004E-4</v>
      </c>
    </row>
    <row r="27" spans="1:17" x14ac:dyDescent="0.3">
      <c r="A27" s="23" t="s">
        <v>26</v>
      </c>
      <c r="B27" s="9" t="s">
        <v>2</v>
      </c>
      <c r="C27" s="1">
        <v>0</v>
      </c>
      <c r="D27" s="2">
        <v>0</v>
      </c>
      <c r="E27" s="2">
        <v>0</v>
      </c>
      <c r="F27" s="2">
        <v>150000</v>
      </c>
      <c r="G27" s="2">
        <v>250000</v>
      </c>
      <c r="H27" s="3">
        <v>0</v>
      </c>
      <c r="J27" s="23" t="s">
        <v>26</v>
      </c>
      <c r="K27" s="9" t="s">
        <v>3</v>
      </c>
      <c r="L27" s="17">
        <f t="shared" si="12"/>
        <v>0</v>
      </c>
      <c r="M27" s="18">
        <f t="shared" si="12"/>
        <v>0</v>
      </c>
      <c r="N27" s="18">
        <f t="shared" si="12"/>
        <v>0</v>
      </c>
      <c r="O27" s="18">
        <f t="shared" si="12"/>
        <v>5.084745762711864E-3</v>
      </c>
      <c r="P27" s="18">
        <f t="shared" si="12"/>
        <v>9.0909090909090905E-3</v>
      </c>
      <c r="Q27" s="19">
        <f t="shared" si="12"/>
        <v>0</v>
      </c>
    </row>
    <row r="28" spans="1:17" x14ac:dyDescent="0.3">
      <c r="A28" s="13" t="s">
        <v>27</v>
      </c>
      <c r="B28" s="9" t="s">
        <v>3</v>
      </c>
      <c r="C28" s="14">
        <f>SUM(C25:C27)</f>
        <v>3000</v>
      </c>
      <c r="D28" s="15">
        <f t="shared" ref="D28:H28" si="13">SUM(D25:D27)</f>
        <v>15000</v>
      </c>
      <c r="E28" s="15">
        <f t="shared" si="13"/>
        <v>40000</v>
      </c>
      <c r="F28" s="15">
        <f t="shared" si="13"/>
        <v>225000</v>
      </c>
      <c r="G28" s="15">
        <f t="shared" si="13"/>
        <v>335000</v>
      </c>
      <c r="H28" s="16">
        <f t="shared" si="13"/>
        <v>30000</v>
      </c>
      <c r="J28" s="13" t="s">
        <v>27</v>
      </c>
      <c r="K28" s="9" t="s">
        <v>3</v>
      </c>
      <c r="L28" s="38">
        <f t="shared" si="12"/>
        <v>2.0000000000000001E-4</v>
      </c>
      <c r="M28" s="39">
        <f t="shared" si="12"/>
        <v>7.5000000000000002E-4</v>
      </c>
      <c r="N28" s="39">
        <f t="shared" si="12"/>
        <v>1.5094339622641509E-3</v>
      </c>
      <c r="O28" s="39">
        <f t="shared" si="12"/>
        <v>7.6271186440677969E-3</v>
      </c>
      <c r="P28" s="39">
        <f t="shared" si="12"/>
        <v>1.2181818181818183E-2</v>
      </c>
      <c r="Q28" s="40">
        <f t="shared" si="12"/>
        <v>9.3749999999999997E-4</v>
      </c>
    </row>
    <row r="29" spans="1:17" x14ac:dyDescent="0.3">
      <c r="A29" s="8"/>
      <c r="B29" s="30"/>
      <c r="C29" s="1"/>
      <c r="D29" s="2"/>
      <c r="E29" s="2"/>
      <c r="F29" s="2"/>
      <c r="G29" s="2"/>
      <c r="H29" s="3"/>
      <c r="J29" s="8"/>
      <c r="K29" s="30"/>
      <c r="L29" s="17"/>
      <c r="M29" s="18"/>
      <c r="N29" s="18"/>
      <c r="O29" s="18"/>
      <c r="P29" s="18"/>
      <c r="Q29" s="19"/>
    </row>
    <row r="30" spans="1:17" ht="15" thickBot="1" x14ac:dyDescent="0.35">
      <c r="A30" s="13" t="s">
        <v>28</v>
      </c>
      <c r="B30" s="9" t="s">
        <v>3</v>
      </c>
      <c r="C30" s="24">
        <f>C22-C28</f>
        <v>2430050</v>
      </c>
      <c r="D30" s="25">
        <f t="shared" ref="D30:H30" si="14">D22-D28</f>
        <v>1729150</v>
      </c>
      <c r="E30" s="25">
        <f t="shared" si="14"/>
        <v>1062313</v>
      </c>
      <c r="F30" s="25">
        <f t="shared" si="14"/>
        <v>-501582.5</v>
      </c>
      <c r="G30" s="25">
        <f t="shared" si="14"/>
        <v>-688037</v>
      </c>
      <c r="H30" s="26">
        <f t="shared" si="14"/>
        <v>2015972</v>
      </c>
      <c r="J30" s="13" t="s">
        <v>31</v>
      </c>
      <c r="K30" s="9" t="s">
        <v>3</v>
      </c>
      <c r="L30" s="41">
        <f t="shared" ref="L30:Q30" si="15">C30/C$2</f>
        <v>0.16200333333333333</v>
      </c>
      <c r="M30" s="42">
        <f t="shared" si="15"/>
        <v>8.6457500000000007E-2</v>
      </c>
      <c r="N30" s="42">
        <f t="shared" si="15"/>
        <v>4.0087283018867922E-2</v>
      </c>
      <c r="O30" s="42">
        <f t="shared" si="15"/>
        <v>-1.7002796610169492E-2</v>
      </c>
      <c r="P30" s="42">
        <f t="shared" si="15"/>
        <v>-2.5019527272727271E-2</v>
      </c>
      <c r="Q30" s="43">
        <f t="shared" si="15"/>
        <v>6.2999125000000003E-2</v>
      </c>
    </row>
    <row r="31" spans="1:17" ht="15.6" thickTop="1" thickBot="1" x14ac:dyDescent="0.35">
      <c r="A31" s="7"/>
      <c r="B31" s="31"/>
      <c r="C31" s="27"/>
      <c r="D31" s="28"/>
      <c r="E31" s="28"/>
      <c r="F31" s="28"/>
      <c r="G31" s="28"/>
      <c r="H31" s="29"/>
      <c r="J31" s="7"/>
      <c r="K31" s="31"/>
      <c r="L31" s="44"/>
      <c r="M31" s="45"/>
      <c r="N31" s="45"/>
      <c r="O31" s="45"/>
      <c r="P31" s="45"/>
      <c r="Q31" s="46"/>
    </row>
  </sheetData>
  <printOptions horizontalCentered="1"/>
  <pageMargins left="0.7" right="0.7" top="0.75" bottom="0.75" header="0.3" footer="0.3"/>
  <pageSetup scale="46" orientation="landscape" r:id="rId1"/>
  <headerFooter>
    <oddHeader>&amp;C&amp;"-,Bold"Vertical Income Statement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08800F9D2174CA5CBAD07D9CA2D7F" ma:contentTypeVersion="15" ma:contentTypeDescription="Create a new document." ma:contentTypeScope="" ma:versionID="f4ed309b2d7a39ba822f2f54206021dc">
  <xsd:schema xmlns:xsd="http://www.w3.org/2001/XMLSchema" xmlns:xs="http://www.w3.org/2001/XMLSchema" xmlns:p="http://schemas.microsoft.com/office/2006/metadata/properties" xmlns:ns2="ba16d19c-c45f-401c-826d-f522cf9165c3" xmlns:ns3="f9651e07-d2b4-4b7e-ac4f-5cbdccf1e4aa" targetNamespace="http://schemas.microsoft.com/office/2006/metadata/properties" ma:root="true" ma:fieldsID="12f80cf02d9fd739ed82b895e9861c22" ns2:_="" ns3:_="">
    <xsd:import namespace="ba16d19c-c45f-401c-826d-f522cf9165c3"/>
    <xsd:import namespace="f9651e07-d2b4-4b7e-ac4f-5cbdccf1e4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6d19c-c45f-401c-826d-f522cf916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dfe2595-36d9-429f-b09c-d881af29f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51e07-d2b4-4b7e-ac4f-5cbdccf1e4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a45693-d3ec-4254-a0c5-44681a9a08ad}" ma:internalName="TaxCatchAll" ma:showField="CatchAllData" ma:web="f9651e07-d2b4-4b7e-ac4f-5cbdccf1e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651e07-d2b4-4b7e-ac4f-5cbdccf1e4aa" xsi:nil="true"/>
    <lcf76f155ced4ddcb4097134ff3c332f xmlns="ba16d19c-c45f-401c-826d-f522cf9165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E9895C-BAD2-49E9-97B9-FD4787AE4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BD022-6796-4309-B463-F4A17AE0F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6d19c-c45f-401c-826d-f522cf9165c3"/>
    <ds:schemaRef ds:uri="f9651e07-d2b4-4b7e-ac4f-5cbdccf1e4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B31E80-913C-4C7F-9A9E-09B0FA0B134D}">
  <ds:schemaRefs>
    <ds:schemaRef ds:uri="http://schemas.microsoft.com/office/2006/metadata/properties"/>
    <ds:schemaRef ds:uri="http://schemas.microsoft.com/office/infopath/2007/PartnerControls"/>
    <ds:schemaRef ds:uri="f9651e07-d2b4-4b7e-ac4f-5cbdccf1e4aa"/>
    <ds:schemaRef ds:uri="ba16d19c-c45f-401c-826d-f522cf9165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Delker</dc:creator>
  <cp:lastModifiedBy>Michelle Delker</cp:lastModifiedBy>
  <cp:lastPrinted>2025-01-04T14:53:46Z</cp:lastPrinted>
  <dcterms:created xsi:type="dcterms:W3CDTF">2025-01-04T03:56:47Z</dcterms:created>
  <dcterms:modified xsi:type="dcterms:W3CDTF">2025-01-04T20:13:16Z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0x01010016908800F9D2174CA5CBAD07D9CA2D7F</vt:lpwstr>
  </property>
  <property fmtid="{D5CDD505-2E9C-101B-9397-08002B2CF9AE}" pid="3" name="MediaServiceImageTags">
    <vt:lpwstr/>
  </property>
</Properties>
</file>